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G:\Unitats compartides\P de PRESSUPOSTOS\Portal de transparencia\document per portal T\"/>
    </mc:Choice>
  </mc:AlternateContent>
  <xr:revisionPtr revIDLastSave="0" documentId="8_{D5FA7975-30BB-486C-8CB3-34420593AEC1}" xr6:coauthVersionLast="36" xr6:coauthVersionMax="36" xr10:uidLastSave="{00000000-0000-0000-0000-000000000000}"/>
  <bookViews>
    <workbookView xWindow="0" yWindow="0" windowWidth="20490" windowHeight="7650" tabRatio="762" activeTab="1" xr2:uid="{00000000-000D-0000-FFFF-FFFF00000000}"/>
  </bookViews>
  <sheets>
    <sheet name="Indicadors" sheetId="1" r:id="rId1"/>
    <sheet name="Arrendaments" sheetId="2" r:id="rId2"/>
    <sheet name="Ajuts, subvencions, beques i tr" sheetId="3" r:id="rId3"/>
    <sheet name="Ingressos estudis" sheetId="4" r:id="rId4"/>
    <sheet name="PMP" sheetId="5" r:id="rId5"/>
  </sheets>
  <definedNames>
    <definedName name="_xlnm.Print_Area" localSheetId="2">'Ajuts, subvencions, beques i tr'!$A$2:$F$4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4" l="1"/>
  <c r="H41" i="4"/>
  <c r="H42" i="4"/>
  <c r="H43" i="4"/>
  <c r="H31" i="4"/>
  <c r="H32" i="4"/>
  <c r="H33" i="4"/>
  <c r="H34" i="4"/>
  <c r="F42" i="4"/>
  <c r="H3" i="3"/>
  <c r="G3" i="3"/>
  <c r="H9" i="2"/>
  <c r="H44" i="4" l="1"/>
  <c r="H36" i="4"/>
  <c r="H3" i="2"/>
  <c r="H18" i="2" l="1"/>
  <c r="I41" i="1" l="1"/>
  <c r="H41" i="1"/>
  <c r="J41" i="1" s="1"/>
  <c r="I34" i="1"/>
  <c r="H34" i="1"/>
  <c r="J34" i="1" s="1"/>
  <c r="D41" i="1"/>
  <c r="D34" i="1"/>
  <c r="J24" i="1"/>
  <c r="J17" i="1"/>
  <c r="J10" i="1"/>
  <c r="D24" i="1"/>
  <c r="D17" i="1"/>
  <c r="D10" i="1"/>
  <c r="H40" i="1"/>
  <c r="I40" i="1"/>
  <c r="J40" i="1" s="1"/>
  <c r="D40" i="1"/>
  <c r="I33" i="1"/>
  <c r="H33" i="1"/>
  <c r="J33" i="1" s="1"/>
  <c r="D33" i="1"/>
  <c r="J23" i="1"/>
  <c r="J16" i="1"/>
  <c r="J9" i="1"/>
  <c r="D23" i="1"/>
  <c r="D16" i="1"/>
  <c r="D9" i="1"/>
  <c r="B35" i="4" l="1"/>
  <c r="C35" i="4"/>
  <c r="D35" i="4"/>
  <c r="E35" i="4"/>
  <c r="F35" i="4"/>
  <c r="B31" i="4"/>
  <c r="B36" i="4" s="1"/>
  <c r="C31" i="4"/>
  <c r="C36" i="4" s="1"/>
  <c r="D31" i="4"/>
  <c r="D36" i="4" s="1"/>
  <c r="E31" i="4"/>
  <c r="E36" i="4" s="1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G35" i="4"/>
  <c r="G34" i="4"/>
  <c r="G33" i="4"/>
  <c r="G32" i="4"/>
  <c r="G31" i="4"/>
  <c r="G36" i="4" s="1"/>
  <c r="B41" i="4"/>
  <c r="C41" i="4"/>
  <c r="D41" i="4"/>
  <c r="E41" i="4"/>
  <c r="F41" i="4"/>
  <c r="B42" i="4"/>
  <c r="C42" i="4"/>
  <c r="D42" i="4"/>
  <c r="D44" i="4" s="1"/>
  <c r="E42" i="4"/>
  <c r="B43" i="4"/>
  <c r="C43" i="4"/>
  <c r="D43" i="4"/>
  <c r="E43" i="4"/>
  <c r="F43" i="4"/>
  <c r="G43" i="4"/>
  <c r="G42" i="4"/>
  <c r="G41" i="4"/>
  <c r="G44" i="4" s="1"/>
  <c r="E44" i="4" l="1"/>
  <c r="C44" i="4"/>
  <c r="B44" i="4"/>
  <c r="F44" i="4"/>
  <c r="F36" i="4"/>
  <c r="G3" i="2" l="1"/>
  <c r="G9" i="2"/>
  <c r="G18" i="2" l="1"/>
  <c r="F3" i="2"/>
  <c r="F18" i="2" s="1"/>
  <c r="F9" i="2"/>
  <c r="C9" i="2" l="1"/>
  <c r="D9" i="2"/>
  <c r="E9" i="2"/>
  <c r="B9" i="2"/>
  <c r="C3" i="2"/>
  <c r="C18" i="2" s="1"/>
  <c r="D3" i="2"/>
  <c r="D18" i="2" s="1"/>
  <c r="E3" i="2"/>
  <c r="E18" i="2" s="1"/>
  <c r="B3" i="2"/>
  <c r="B18" i="2" s="1"/>
  <c r="J38" i="1"/>
  <c r="I37" i="1"/>
  <c r="H37" i="1"/>
  <c r="J37" i="1" s="1"/>
  <c r="I38" i="1"/>
  <c r="H38" i="1"/>
  <c r="I39" i="1"/>
  <c r="H39" i="1"/>
  <c r="J39" i="1" s="1"/>
  <c r="D38" i="1"/>
  <c r="D39" i="1"/>
  <c r="D37" i="1"/>
  <c r="H30" i="1"/>
  <c r="H32" i="1"/>
  <c r="I32" i="1" s="1"/>
  <c r="J32" i="1" s="1"/>
  <c r="H31" i="1"/>
  <c r="I31" i="1" s="1"/>
  <c r="J31" i="1" s="1"/>
  <c r="D31" i="1"/>
  <c r="D32" i="1"/>
  <c r="D30" i="1"/>
  <c r="J20" i="1"/>
  <c r="J13" i="1"/>
  <c r="J6" i="1"/>
  <c r="D20" i="1"/>
  <c r="D13" i="1"/>
  <c r="D6" i="1"/>
  <c r="J21" i="1"/>
  <c r="J22" i="1"/>
  <c r="J14" i="1"/>
  <c r="J7" i="1"/>
  <c r="D21" i="1"/>
  <c r="D14" i="1"/>
  <c r="D7" i="1"/>
  <c r="J15" i="1"/>
  <c r="J8" i="1"/>
  <c r="D22" i="1"/>
  <c r="D15" i="1"/>
  <c r="D8" i="1"/>
  <c r="I30" i="1" l="1"/>
  <c r="J30" i="1" s="1"/>
</calcChain>
</file>

<file path=xl/sharedStrings.xml><?xml version="1.0" encoding="utf-8"?>
<sst xmlns="http://schemas.openxmlformats.org/spreadsheetml/2006/main" count="94" uniqueCount="87">
  <si>
    <t>Obligacions reconegudes netes</t>
  </si>
  <si>
    <t xml:space="preserve"> / Crèdits total</t>
  </si>
  <si>
    <t>Pagaments realitzats</t>
  </si>
  <si>
    <t xml:space="preserve"> / Obligacions reconegudes netes</t>
  </si>
  <si>
    <t>Execució del pressupost de despeses:</t>
  </si>
  <si>
    <t>Realització de pagaments:</t>
  </si>
  <si>
    <t>(Obligacions pendents de pagament</t>
  </si>
  <si>
    <t xml:space="preserve">Exercici: </t>
  </si>
  <si>
    <t>Drets reconeguts nets</t>
  </si>
  <si>
    <t>/ Previsions definitives</t>
  </si>
  <si>
    <t>Recaptació neta</t>
  </si>
  <si>
    <t>/ Drets reconeguts nets</t>
  </si>
  <si>
    <t>/ Drets reconeguts nets) x 365</t>
  </si>
  <si>
    <t>(Drets pendents de cobrament</t>
  </si>
  <si>
    <t>Període mitjà de pagament:</t>
  </si>
  <si>
    <t>Execució del pressupost d'ingressos</t>
  </si>
  <si>
    <t>Realització de cobraments</t>
  </si>
  <si>
    <t>Periode mitja de cobrament</t>
  </si>
  <si>
    <t>Indicadors pressupostaris de despesa</t>
  </si>
  <si>
    <t>Indicadors pressupostaris d'ingressos</t>
  </si>
  <si>
    <t>valor</t>
  </si>
  <si>
    <t>Indicadors financers i patrimonials</t>
  </si>
  <si>
    <t>Liquiditat general</t>
  </si>
  <si>
    <t>Actiu corrent</t>
  </si>
  <si>
    <t>Passiu corrent</t>
  </si>
  <si>
    <t>/ Passiu corrent</t>
  </si>
  <si>
    <t>Endeutament</t>
  </si>
  <si>
    <t>[Passiu (corrent + no corrent)</t>
  </si>
  <si>
    <t>/[Passiu (corrent + no corrent) + Patrimoni net]</t>
  </si>
  <si>
    <t>Relació d'endeutament</t>
  </si>
  <si>
    <t>/ Passiu no corrent</t>
  </si>
  <si>
    <t>Cash- Flow</t>
  </si>
  <si>
    <t>(Passiu no corrent / Fluxos nets de gestió)</t>
  </si>
  <si>
    <t>+ (Passiu corrent/Fluxos nets de gestió)</t>
  </si>
  <si>
    <t>Edificis i altres construccions</t>
  </si>
  <si>
    <t>Mobiliari i equipaments</t>
  </si>
  <si>
    <t>Equipaments per a procés de dades</t>
  </si>
  <si>
    <t>Altres</t>
  </si>
  <si>
    <t>Edifici Parc Recerca Biomèdica Barcelona</t>
  </si>
  <si>
    <t>Edifici Tallers</t>
  </si>
  <si>
    <t>Mercat del Peix</t>
  </si>
  <si>
    <t>Edifici Roc Boronat</t>
  </si>
  <si>
    <t>Campus del Poblenou</t>
  </si>
  <si>
    <t>Edifici Almogàvers</t>
  </si>
  <si>
    <t xml:space="preserve"> Altres</t>
  </si>
  <si>
    <t>De béns mobles</t>
  </si>
  <si>
    <t>Despesa en arrendaments</t>
  </si>
  <si>
    <t>Total</t>
  </si>
  <si>
    <t>310.00 - Gestió expedient</t>
  </si>
  <si>
    <t>310.01 - Gestió expedient no compensada</t>
  </si>
  <si>
    <t>310.02 - Gestió d'expedient acadèmic becaris fam nombrosa</t>
  </si>
  <si>
    <t>310.10 - Expedició de títols</t>
  </si>
  <si>
    <t>310.90 - Altres preus públics de secretaria</t>
  </si>
  <si>
    <t>311.00 - Preus acadèmics de grau</t>
  </si>
  <si>
    <t>311.10 - Preus acadèmics màsters oficials</t>
  </si>
  <si>
    <t>311.20 - Preus acadèmics de doctorat</t>
  </si>
  <si>
    <t>311.40 - Preus acadèmics becaris de grau</t>
  </si>
  <si>
    <t>311.41 - Preus acad. becaris màsters oficials i doctorados</t>
  </si>
  <si>
    <t>311.42 - Preus acad becaris f nombrosa i altres bonificacio</t>
  </si>
  <si>
    <t>311.43 - Preus acadèmics no compensats</t>
  </si>
  <si>
    <t>311.44 - Preus acadèmics bonificacions UPF</t>
  </si>
  <si>
    <t>311.50 - Tutela acadèmica a escoles adscrites</t>
  </si>
  <si>
    <t>313.00 - Proves d'accés a la universitat</t>
  </si>
  <si>
    <t>319.00 - Serveis específics docents</t>
  </si>
  <si>
    <t>319.90 - Altres</t>
  </si>
  <si>
    <t>312.00 - Cursos de postgrau i extensió universitària</t>
  </si>
  <si>
    <t>312.01 - Cursos postgrau i ext. universitària: repercussió</t>
  </si>
  <si>
    <t>312.10 - Campus Internacional</t>
  </si>
  <si>
    <t>312.11 - Campus Internacional: repercussió</t>
  </si>
  <si>
    <t>312.20 - Cursos d'estiu</t>
  </si>
  <si>
    <t>312.21 - Cursos d'estiu: repercussió</t>
  </si>
  <si>
    <t>Preus públics de secretaria</t>
  </si>
  <si>
    <t>Drets de matrícula en elstudis oficials</t>
  </si>
  <si>
    <t>Proves d'accés a la universitat</t>
  </si>
  <si>
    <t>Altres preus públics</t>
  </si>
  <si>
    <t>Drets de matrícula en estudis propis</t>
  </si>
  <si>
    <t>Cursos de postgrau i extensió universitària</t>
  </si>
  <si>
    <t>Campus Internacional</t>
  </si>
  <si>
    <t>Cursos d'estiu</t>
  </si>
  <si>
    <t>Exempcions de matrícula</t>
  </si>
  <si>
    <t xml:space="preserve">Total net </t>
  </si>
  <si>
    <t>Preus públics</t>
  </si>
  <si>
    <t>/ Total obligacions reconegudes netes )x365</t>
  </si>
  <si>
    <t>Despesa total en concepte d'ajuts, subvencions, beques i transferències</t>
  </si>
  <si>
    <t>Equipaments audiovisuals</t>
  </si>
  <si>
    <t>2023 provisional</t>
  </si>
  <si>
    <t>2023 
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</si>
</sst>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quotePrefix="1" applyFont="1"/>
    <xf numFmtId="0" fontId="5" fillId="0" borderId="0" xfId="0" quotePrefix="1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/>
    <xf numFmtId="4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7" fillId="0" borderId="3" xfId="0" applyFont="1" applyBorder="1"/>
    <xf numFmtId="0" fontId="1" fillId="3" borderId="0" xfId="0" applyFont="1" applyFill="1"/>
    <xf numFmtId="0" fontId="4" fillId="0" borderId="0" xfId="0" applyFont="1" applyAlignment="1">
      <alignment horizontal="left" indent="1"/>
    </xf>
    <xf numFmtId="0" fontId="4" fillId="0" borderId="0" xfId="0" quotePrefix="1" applyFont="1" applyAlignment="1">
      <alignment horizontal="left" indent="1"/>
    </xf>
    <xf numFmtId="4" fontId="8" fillId="0" borderId="0" xfId="0" applyNumberFormat="1" applyFont="1"/>
    <xf numFmtId="4" fontId="8" fillId="0" borderId="0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2" fillId="0" borderId="3" xfId="0" applyFont="1" applyBorder="1"/>
    <xf numFmtId="4" fontId="1" fillId="0" borderId="3" xfId="0" applyNumberFormat="1" applyFont="1" applyBorder="1"/>
    <xf numFmtId="0" fontId="10" fillId="0" borderId="0" xfId="0" applyFont="1" applyBorder="1" applyAlignment="1">
      <alignment horizontal="left" indent="1"/>
    </xf>
    <xf numFmtId="0" fontId="7" fillId="0" borderId="0" xfId="0" applyFont="1"/>
    <xf numFmtId="0" fontId="11" fillId="0" borderId="0" xfId="0" applyFont="1"/>
    <xf numFmtId="4" fontId="11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left" indent="2"/>
    </xf>
    <xf numFmtId="4" fontId="4" fillId="0" borderId="0" xfId="0" applyNumberFormat="1" applyFont="1" applyBorder="1"/>
    <xf numFmtId="0" fontId="4" fillId="0" borderId="5" xfId="0" applyFont="1" applyBorder="1"/>
    <xf numFmtId="4" fontId="4" fillId="0" borderId="5" xfId="0" applyNumberFormat="1" applyFont="1" applyBorder="1"/>
    <xf numFmtId="4" fontId="8" fillId="0" borderId="4" xfId="0" applyNumberFormat="1" applyFont="1" applyBorder="1"/>
    <xf numFmtId="4" fontId="8" fillId="0" borderId="1" xfId="0" applyNumberFormat="1" applyFont="1" applyBorder="1"/>
    <xf numFmtId="0" fontId="8" fillId="0" borderId="4" xfId="0" applyFont="1" applyBorder="1" applyAlignment="1">
      <alignment horizontal="left" indent="2"/>
    </xf>
    <xf numFmtId="0" fontId="8" fillId="0" borderId="1" xfId="0" applyFont="1" applyBorder="1" applyAlignment="1">
      <alignment horizontal="left" indent="2"/>
    </xf>
    <xf numFmtId="0" fontId="4" fillId="3" borderId="0" xfId="0" applyFont="1" applyFill="1" applyBorder="1"/>
    <xf numFmtId="4" fontId="4" fillId="3" borderId="0" xfId="0" applyNumberFormat="1" applyFont="1" applyFill="1" applyBorder="1"/>
    <xf numFmtId="4" fontId="1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left" inden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66"/>
  <sheetViews>
    <sheetView zoomScaleNormal="100" workbookViewId="0">
      <selection activeCell="Q22" sqref="Q22"/>
    </sheetView>
  </sheetViews>
  <sheetFormatPr defaultRowHeight="16.5" x14ac:dyDescent="0.3"/>
  <cols>
    <col min="1" max="1" width="0.28515625" style="1" customWidth="1"/>
    <col min="2" max="3" width="36.7109375" style="1" customWidth="1"/>
    <col min="4" max="4" width="5.5703125" style="6" bestFit="1" customWidth="1"/>
    <col min="5" max="5" width="1.42578125" style="1" customWidth="1"/>
    <col min="6" max="6" width="10.140625" style="6" bestFit="1" customWidth="1"/>
    <col min="7" max="7" width="1.42578125" style="1" customWidth="1"/>
    <col min="8" max="9" width="36.7109375" style="1" customWidth="1"/>
    <col min="10" max="10" width="5.5703125" style="1" bestFit="1" customWidth="1"/>
    <col min="11" max="16384" width="9.140625" style="1"/>
  </cols>
  <sheetData>
    <row r="3" spans="1:10" ht="20.25" x14ac:dyDescent="0.3">
      <c r="A3" s="2"/>
      <c r="B3" s="25" t="s">
        <v>18</v>
      </c>
      <c r="C3" s="26"/>
      <c r="D3" s="28" t="s">
        <v>20</v>
      </c>
      <c r="E3" s="23"/>
      <c r="F3" s="24"/>
      <c r="G3" s="23"/>
      <c r="H3" s="25" t="s">
        <v>19</v>
      </c>
      <c r="I3" s="26"/>
      <c r="J3" s="28" t="s">
        <v>20</v>
      </c>
    </row>
    <row r="4" spans="1:10" ht="33.75" customHeight="1" x14ac:dyDescent="0.3">
      <c r="B4" s="30" t="s">
        <v>4</v>
      </c>
      <c r="E4" s="17"/>
      <c r="F4" s="8" t="s">
        <v>7</v>
      </c>
      <c r="G4" s="17"/>
      <c r="H4" s="30" t="s">
        <v>15</v>
      </c>
      <c r="J4" s="6"/>
    </row>
    <row r="5" spans="1:10" x14ac:dyDescent="0.3">
      <c r="B5" s="10" t="s">
        <v>0</v>
      </c>
      <c r="C5" s="11" t="s">
        <v>1</v>
      </c>
      <c r="D5" s="12"/>
      <c r="E5" s="18"/>
      <c r="F5" s="9"/>
      <c r="G5" s="18"/>
      <c r="H5" s="10" t="s">
        <v>8</v>
      </c>
      <c r="I5" s="13" t="s">
        <v>9</v>
      </c>
      <c r="J5" s="12"/>
    </row>
    <row r="6" spans="1:10" x14ac:dyDescent="0.3">
      <c r="B6" s="15">
        <v>134317965.66999999</v>
      </c>
      <c r="C6" s="15">
        <v>179898843.53</v>
      </c>
      <c r="D6" s="16">
        <f>B6/C6</f>
        <v>0.74663051209443199</v>
      </c>
      <c r="E6" s="18"/>
      <c r="F6" s="14">
        <v>2018</v>
      </c>
      <c r="G6" s="18"/>
      <c r="H6" s="15">
        <v>140170908.66</v>
      </c>
      <c r="I6" s="15">
        <v>179898843.53</v>
      </c>
      <c r="J6" s="16">
        <f>+H6/I6</f>
        <v>0.77916514586501517</v>
      </c>
    </row>
    <row r="7" spans="1:10" x14ac:dyDescent="0.3">
      <c r="B7" s="19">
        <v>137646523.74000001</v>
      </c>
      <c r="C7" s="19">
        <v>194038887.34</v>
      </c>
      <c r="D7" s="20">
        <f>B7/C7</f>
        <v>0.70937596904898848</v>
      </c>
      <c r="E7" s="21"/>
      <c r="F7" s="22">
        <v>2019</v>
      </c>
      <c r="G7" s="21"/>
      <c r="H7" s="19">
        <v>141413425.84999999</v>
      </c>
      <c r="I7" s="19">
        <v>194038887.34</v>
      </c>
      <c r="J7" s="20">
        <f>+H7/I7</f>
        <v>0.72878909886868037</v>
      </c>
    </row>
    <row r="8" spans="1:10" x14ac:dyDescent="0.3">
      <c r="B8" s="15">
        <v>141872874.53999999</v>
      </c>
      <c r="C8" s="15">
        <v>200437408.99000001</v>
      </c>
      <c r="D8" s="16">
        <f>B8/C8</f>
        <v>0.70781634653378578</v>
      </c>
      <c r="E8" s="18"/>
      <c r="F8" s="14">
        <v>2020</v>
      </c>
      <c r="G8" s="18"/>
      <c r="H8" s="15">
        <v>147582362.25</v>
      </c>
      <c r="I8" s="15">
        <v>200437408.99000001</v>
      </c>
      <c r="J8" s="16">
        <f>+H8/I8</f>
        <v>0.736301486801613</v>
      </c>
    </row>
    <row r="9" spans="1:10" x14ac:dyDescent="0.3">
      <c r="B9" s="19">
        <v>142904717.41</v>
      </c>
      <c r="C9" s="19">
        <v>202964641.08000001</v>
      </c>
      <c r="D9" s="20">
        <f>B9/C9</f>
        <v>0.70408676432301842</v>
      </c>
      <c r="E9" s="21"/>
      <c r="F9" s="22">
        <v>2021</v>
      </c>
      <c r="G9" s="21"/>
      <c r="H9" s="19">
        <v>144526342.52000001</v>
      </c>
      <c r="I9" s="19">
        <v>202964641.08000001</v>
      </c>
      <c r="J9" s="20">
        <f>+H9/I9</f>
        <v>0.71207645701713085</v>
      </c>
    </row>
    <row r="10" spans="1:10" x14ac:dyDescent="0.3">
      <c r="B10" s="15">
        <v>152680482.38</v>
      </c>
      <c r="C10" s="15">
        <v>218123090.50999999</v>
      </c>
      <c r="D10" s="16">
        <f>B10/C10</f>
        <v>0.69997395517830452</v>
      </c>
      <c r="E10" s="18"/>
      <c r="F10" s="14">
        <v>2022</v>
      </c>
      <c r="G10" s="18"/>
      <c r="H10" s="15">
        <v>164108317.50999999</v>
      </c>
      <c r="I10" s="15">
        <v>218123090.50999999</v>
      </c>
      <c r="J10" s="16">
        <f>+H10/I10</f>
        <v>0.75236563504713561</v>
      </c>
    </row>
    <row r="11" spans="1:10" x14ac:dyDescent="0.3">
      <c r="B11" s="31" t="s">
        <v>5</v>
      </c>
      <c r="C11" s="5"/>
      <c r="D11" s="7"/>
      <c r="E11" s="17"/>
      <c r="F11" s="4"/>
      <c r="G11" s="17"/>
      <c r="H11" s="30" t="s">
        <v>16</v>
      </c>
      <c r="J11" s="6"/>
    </row>
    <row r="12" spans="1:10" x14ac:dyDescent="0.3">
      <c r="B12" s="10" t="s">
        <v>2</v>
      </c>
      <c r="C12" s="11" t="s">
        <v>3</v>
      </c>
      <c r="D12" s="12"/>
      <c r="E12" s="18"/>
      <c r="F12" s="9"/>
      <c r="G12" s="18"/>
      <c r="H12" s="10" t="s">
        <v>10</v>
      </c>
      <c r="I12" s="13" t="s">
        <v>11</v>
      </c>
      <c r="J12" s="12"/>
    </row>
    <row r="13" spans="1:10" x14ac:dyDescent="0.3">
      <c r="B13" s="15">
        <v>129326124.63</v>
      </c>
      <c r="C13" s="15">
        <v>134317965.66999999</v>
      </c>
      <c r="D13" s="16">
        <f>B13/C13</f>
        <v>0.96283564141922584</v>
      </c>
      <c r="E13" s="18"/>
      <c r="F13" s="14">
        <v>2018</v>
      </c>
      <c r="G13" s="18"/>
      <c r="H13" s="15">
        <v>121175897.02</v>
      </c>
      <c r="I13" s="15">
        <v>140170908.66</v>
      </c>
      <c r="J13" s="16">
        <f>+H13/I13</f>
        <v>0.86448677673857066</v>
      </c>
    </row>
    <row r="14" spans="1:10" x14ac:dyDescent="0.3">
      <c r="B14" s="19">
        <v>132905585.79000001</v>
      </c>
      <c r="C14" s="19">
        <v>137646523.74000001</v>
      </c>
      <c r="D14" s="20">
        <f>B14/C14</f>
        <v>0.96555715450573132</v>
      </c>
      <c r="E14" s="21"/>
      <c r="F14" s="22">
        <v>2019</v>
      </c>
      <c r="G14" s="21"/>
      <c r="H14" s="19">
        <v>120351416.22</v>
      </c>
      <c r="I14" s="19">
        <v>141413425.84999999</v>
      </c>
      <c r="J14" s="20">
        <f>+H14/I14</f>
        <v>0.85106074968906498</v>
      </c>
    </row>
    <row r="15" spans="1:10" x14ac:dyDescent="0.3">
      <c r="B15" s="15">
        <v>137549744.59</v>
      </c>
      <c r="C15" s="15">
        <v>141872874.53999999</v>
      </c>
      <c r="D15" s="16">
        <f>B15/C15</f>
        <v>0.96952814296589784</v>
      </c>
      <c r="E15" s="18"/>
      <c r="F15" s="14">
        <v>2020</v>
      </c>
      <c r="G15" s="18"/>
      <c r="H15" s="15">
        <v>122136915.78</v>
      </c>
      <c r="I15" s="15">
        <v>147582362.25</v>
      </c>
      <c r="J15" s="16">
        <f>+H15/I15</f>
        <v>0.82758477312555689</v>
      </c>
    </row>
    <row r="16" spans="1:10" x14ac:dyDescent="0.3">
      <c r="B16" s="19">
        <v>138386246.13</v>
      </c>
      <c r="C16" s="19">
        <v>142904717.41</v>
      </c>
      <c r="D16" s="20">
        <f>B16/C16</f>
        <v>0.96838123078165217</v>
      </c>
      <c r="E16" s="21"/>
      <c r="F16" s="22">
        <v>2021</v>
      </c>
      <c r="G16" s="21"/>
      <c r="H16" s="19">
        <v>132072550.65000001</v>
      </c>
      <c r="I16" s="19">
        <v>144526342.52000001</v>
      </c>
      <c r="J16" s="20">
        <f>+H16/I16</f>
        <v>0.91383029797300375</v>
      </c>
    </row>
    <row r="17" spans="1:10" x14ac:dyDescent="0.3">
      <c r="B17" s="15">
        <v>146484703.59</v>
      </c>
      <c r="C17" s="15">
        <v>152680482.38</v>
      </c>
      <c r="D17" s="16">
        <f>B17/C17</f>
        <v>0.95941996846342426</v>
      </c>
      <c r="E17" s="18"/>
      <c r="F17" s="14">
        <v>2022</v>
      </c>
      <c r="G17" s="18"/>
      <c r="H17" s="15">
        <v>153112526.30000001</v>
      </c>
      <c r="I17" s="15">
        <v>164108317.50999999</v>
      </c>
      <c r="J17" s="16">
        <f>+H17/I17</f>
        <v>0.93299674643651165</v>
      </c>
    </row>
    <row r="18" spans="1:10" x14ac:dyDescent="0.3">
      <c r="B18" s="31" t="s">
        <v>14</v>
      </c>
      <c r="E18" s="17"/>
      <c r="F18" s="4"/>
      <c r="G18" s="17"/>
      <c r="H18" s="30" t="s">
        <v>17</v>
      </c>
      <c r="J18" s="6"/>
    </row>
    <row r="19" spans="1:10" x14ac:dyDescent="0.3">
      <c r="B19" s="10" t="s">
        <v>6</v>
      </c>
      <c r="C19" s="11" t="s">
        <v>82</v>
      </c>
      <c r="D19" s="12"/>
      <c r="E19" s="18"/>
      <c r="F19" s="9"/>
      <c r="G19" s="18"/>
      <c r="H19" s="10" t="s">
        <v>13</v>
      </c>
      <c r="I19" s="13" t="s">
        <v>12</v>
      </c>
      <c r="J19" s="12"/>
    </row>
    <row r="20" spans="1:10" x14ac:dyDescent="0.3">
      <c r="B20" s="15">
        <v>4991841.04</v>
      </c>
      <c r="C20" s="15">
        <v>134317965.66999999</v>
      </c>
      <c r="D20" s="16">
        <f>+(B20/C20)*365</f>
        <v>13.564990881982588</v>
      </c>
      <c r="E20" s="18"/>
      <c r="F20" s="14">
        <v>2018</v>
      </c>
      <c r="G20" s="18"/>
      <c r="H20" s="15">
        <v>18995011.640000001</v>
      </c>
      <c r="I20" s="15">
        <v>140170908.66</v>
      </c>
      <c r="J20" s="16">
        <f>(H20/I20)*365</f>
        <v>49.462326490421717</v>
      </c>
    </row>
    <row r="21" spans="1:10" x14ac:dyDescent="0.3">
      <c r="B21" s="19">
        <v>4740937.95</v>
      </c>
      <c r="C21" s="19">
        <v>137646523.74000001</v>
      </c>
      <c r="D21" s="20">
        <f>+(B21/C21)*365</f>
        <v>12.571638605408051</v>
      </c>
      <c r="E21" s="21"/>
      <c r="F21" s="22">
        <v>2019</v>
      </c>
      <c r="G21" s="21"/>
      <c r="H21" s="19">
        <v>21062009.629999999</v>
      </c>
      <c r="I21" s="19">
        <v>141413425.84999999</v>
      </c>
      <c r="J21" s="20">
        <f>(H21/I21)*365</f>
        <v>54.36282636349128</v>
      </c>
    </row>
    <row r="22" spans="1:10" x14ac:dyDescent="0.3">
      <c r="B22" s="15">
        <v>4323129.95</v>
      </c>
      <c r="C22" s="15">
        <v>141872874.53999999</v>
      </c>
      <c r="D22" s="16">
        <f>+(B22/C22)*365</f>
        <v>11.12222781744731</v>
      </c>
      <c r="E22" s="18"/>
      <c r="F22" s="14">
        <v>2020</v>
      </c>
      <c r="G22" s="18"/>
      <c r="H22" s="15">
        <v>25445446.469999999</v>
      </c>
      <c r="I22" s="15">
        <v>147582362.25</v>
      </c>
      <c r="J22" s="16">
        <f>(H22/I22)*365</f>
        <v>62.931557809171736</v>
      </c>
    </row>
    <row r="23" spans="1:10" x14ac:dyDescent="0.3">
      <c r="B23" s="19">
        <v>4518471.28</v>
      </c>
      <c r="C23" s="19">
        <v>142904717.41</v>
      </c>
      <c r="D23" s="20">
        <f>+(B23/C23)*365</f>
        <v>11.54085076469695</v>
      </c>
      <c r="E23" s="21"/>
      <c r="F23" s="22">
        <v>2021</v>
      </c>
      <c r="G23" s="21"/>
      <c r="H23" s="19">
        <v>12453791.869999999</v>
      </c>
      <c r="I23" s="19">
        <v>144526342.52000001</v>
      </c>
      <c r="J23" s="20">
        <f>(H23/I23)*365</f>
        <v>31.451941239853632</v>
      </c>
    </row>
    <row r="24" spans="1:10" x14ac:dyDescent="0.3">
      <c r="B24" s="15">
        <v>6195778.79</v>
      </c>
      <c r="C24" s="15">
        <v>152680482.38</v>
      </c>
      <c r="D24" s="16">
        <f>+(B24/C24)*365</f>
        <v>14.811711510850154</v>
      </c>
      <c r="E24" s="18"/>
      <c r="F24" s="14">
        <v>2022</v>
      </c>
      <c r="G24" s="18"/>
      <c r="H24" s="15">
        <v>10995791.210000001</v>
      </c>
      <c r="I24" s="15">
        <v>164108317.50999999</v>
      </c>
      <c r="J24" s="16">
        <f>(H24/I24)*365</f>
        <v>24.456187550673285</v>
      </c>
    </row>
    <row r="25" spans="1:10" ht="7.5" customHeight="1" x14ac:dyDescent="0.3">
      <c r="A25" s="4"/>
      <c r="B25" s="29"/>
      <c r="C25" s="29"/>
      <c r="D25" s="29"/>
      <c r="E25" s="29"/>
      <c r="F25" s="29"/>
      <c r="G25" s="29"/>
      <c r="H25" s="29"/>
      <c r="I25" s="29"/>
      <c r="J25" s="29"/>
    </row>
    <row r="26" spans="1:10" x14ac:dyDescent="0.3">
      <c r="A26" s="4"/>
      <c r="D26" s="1"/>
      <c r="F26" s="1"/>
    </row>
    <row r="27" spans="1:10" ht="20.25" x14ac:dyDescent="0.3">
      <c r="A27" s="4"/>
      <c r="B27" s="25" t="s">
        <v>21</v>
      </c>
      <c r="C27" s="26"/>
      <c r="D27" s="26"/>
      <c r="E27" s="26"/>
      <c r="F27" s="26"/>
      <c r="G27" s="26"/>
      <c r="H27" s="26"/>
      <c r="I27" s="26"/>
      <c r="J27" s="26"/>
    </row>
    <row r="28" spans="1:10" ht="33.75" customHeight="1" x14ac:dyDescent="0.3">
      <c r="B28" s="6" t="s">
        <v>22</v>
      </c>
      <c r="E28" s="17"/>
      <c r="F28" s="8" t="s">
        <v>7</v>
      </c>
      <c r="G28" s="17"/>
      <c r="H28" s="6" t="s">
        <v>26</v>
      </c>
      <c r="J28" s="6"/>
    </row>
    <row r="29" spans="1:10" x14ac:dyDescent="0.3">
      <c r="B29" s="10" t="s">
        <v>23</v>
      </c>
      <c r="C29" s="13" t="s">
        <v>25</v>
      </c>
      <c r="D29" s="12"/>
      <c r="E29" s="18"/>
      <c r="F29" s="9"/>
      <c r="G29" s="18"/>
      <c r="H29" s="10" t="s">
        <v>27</v>
      </c>
      <c r="I29" s="13" t="s">
        <v>28</v>
      </c>
      <c r="J29" s="12"/>
    </row>
    <row r="30" spans="1:10" x14ac:dyDescent="0.3">
      <c r="B30" s="15">
        <v>46318741.969999999</v>
      </c>
      <c r="C30" s="15">
        <v>76119808.680000007</v>
      </c>
      <c r="D30" s="16">
        <f>B30/C30</f>
        <v>0.60849787687616652</v>
      </c>
      <c r="E30" s="18"/>
      <c r="F30" s="14">
        <v>2018</v>
      </c>
      <c r="G30" s="18"/>
      <c r="H30" s="15">
        <f>76119808.68+63552485.58</f>
        <v>139672294.25999999</v>
      </c>
      <c r="I30" s="15">
        <f>+H30+133151151.28</f>
        <v>272823445.53999996</v>
      </c>
      <c r="J30" s="16">
        <f>+H30/I30</f>
        <v>0.51195121439635205</v>
      </c>
    </row>
    <row r="31" spans="1:10" x14ac:dyDescent="0.3">
      <c r="B31" s="19">
        <v>48478471.530000001</v>
      </c>
      <c r="C31" s="19">
        <v>79909927.629999995</v>
      </c>
      <c r="D31" s="20">
        <f t="shared" ref="D31:D34" si="0">B31/C31</f>
        <v>0.60666393986070999</v>
      </c>
      <c r="E31" s="21"/>
      <c r="F31" s="22">
        <v>2019</v>
      </c>
      <c r="G31" s="21"/>
      <c r="H31" s="19">
        <f>79909927.63+60390080.55</f>
        <v>140300008.18000001</v>
      </c>
      <c r="I31" s="19">
        <f>+H31+130969849</f>
        <v>271269857.18000001</v>
      </c>
      <c r="J31" s="20">
        <f>+H31/I31</f>
        <v>0.51719719116047791</v>
      </c>
    </row>
    <row r="32" spans="1:10" x14ac:dyDescent="0.3">
      <c r="B32" s="15">
        <v>51322508.439999998</v>
      </c>
      <c r="C32" s="15">
        <v>79831192.930000007</v>
      </c>
      <c r="D32" s="16">
        <f t="shared" si="0"/>
        <v>0.64288790579644906</v>
      </c>
      <c r="E32" s="18"/>
      <c r="F32" s="14">
        <v>2020</v>
      </c>
      <c r="G32" s="18"/>
      <c r="H32" s="15">
        <f>79831192.93+56907820.89</f>
        <v>136739013.81999999</v>
      </c>
      <c r="I32" s="15">
        <f>+H32+135809786.34</f>
        <v>272548800.15999997</v>
      </c>
      <c r="J32" s="16">
        <f>+H32/I32</f>
        <v>0.50170469926753392</v>
      </c>
    </row>
    <row r="33" spans="1:10" x14ac:dyDescent="0.3">
      <c r="B33" s="19">
        <v>51882209.100000001</v>
      </c>
      <c r="C33" s="19">
        <v>80552716.579999998</v>
      </c>
      <c r="D33" s="20">
        <f t="shared" si="0"/>
        <v>0.64407770839700718</v>
      </c>
      <c r="E33" s="21"/>
      <c r="F33" s="22">
        <v>2021</v>
      </c>
      <c r="G33" s="21"/>
      <c r="H33" s="19">
        <f>80552716.58+56269246.76</f>
        <v>136821963.34</v>
      </c>
      <c r="I33" s="19">
        <f>80552716.58+56269246.76+135179264.45</f>
        <v>272001227.78999996</v>
      </c>
      <c r="J33" s="20">
        <f>+H33/I33</f>
        <v>0.50301965344669008</v>
      </c>
    </row>
    <row r="34" spans="1:10" x14ac:dyDescent="0.3">
      <c r="B34" s="15">
        <v>65685486.880000003</v>
      </c>
      <c r="C34" s="15">
        <v>92271628.900000006</v>
      </c>
      <c r="D34" s="16">
        <f t="shared" si="0"/>
        <v>0.71187089317765362</v>
      </c>
      <c r="E34" s="18"/>
      <c r="F34" s="14">
        <v>2022</v>
      </c>
      <c r="G34" s="18"/>
      <c r="H34" s="15">
        <f>92271628.9+52060293.84</f>
        <v>144331922.74000001</v>
      </c>
      <c r="I34" s="15">
        <f>92271628.9+52060293.84+137515997.37</f>
        <v>281847920.11000001</v>
      </c>
      <c r="J34" s="16">
        <f>+H34/I34</f>
        <v>0.51209149488727801</v>
      </c>
    </row>
    <row r="35" spans="1:10" x14ac:dyDescent="0.3">
      <c r="B35" s="31" t="s">
        <v>29</v>
      </c>
      <c r="E35" s="17"/>
      <c r="F35" s="4"/>
      <c r="G35" s="17"/>
      <c r="H35" s="30" t="s">
        <v>31</v>
      </c>
      <c r="J35" s="6"/>
    </row>
    <row r="36" spans="1:10" x14ac:dyDescent="0.3">
      <c r="B36" s="10" t="s">
        <v>24</v>
      </c>
      <c r="C36" s="13" t="s">
        <v>30</v>
      </c>
      <c r="D36" s="12"/>
      <c r="E36" s="18"/>
      <c r="F36" s="9"/>
      <c r="G36" s="18"/>
      <c r="H36" s="10" t="s">
        <v>32</v>
      </c>
      <c r="I36" s="13" t="s">
        <v>33</v>
      </c>
      <c r="J36" s="12"/>
    </row>
    <row r="37" spans="1:10" x14ac:dyDescent="0.3">
      <c r="B37" s="15">
        <v>76119808.680000007</v>
      </c>
      <c r="C37" s="15">
        <v>63552485.579999998</v>
      </c>
      <c r="D37" s="16">
        <f>+B37/C37</f>
        <v>1.197747153164926</v>
      </c>
      <c r="E37" s="18"/>
      <c r="F37" s="14">
        <v>2018</v>
      </c>
      <c r="G37" s="18"/>
      <c r="H37" s="15">
        <f>63552485.58/22328698.79</f>
        <v>2.8462243222369161</v>
      </c>
      <c r="I37" s="15">
        <f>76119808.68/22328698.79</f>
        <v>3.4090570792280372</v>
      </c>
      <c r="J37" s="16">
        <f t="shared" ref="J37:J40" si="1">+H37+I37</f>
        <v>6.2552814014649538</v>
      </c>
    </row>
    <row r="38" spans="1:10" x14ac:dyDescent="0.3">
      <c r="B38" s="19">
        <v>79909927.629999995</v>
      </c>
      <c r="C38" s="19">
        <v>60390080.549999997</v>
      </c>
      <c r="D38" s="20">
        <f t="shared" ref="D38:D41" si="2">+B38/C38</f>
        <v>1.3232293598919533</v>
      </c>
      <c r="E38" s="21"/>
      <c r="F38" s="22">
        <v>2019</v>
      </c>
      <c r="G38" s="21"/>
      <c r="H38" s="19">
        <f>60390080.55/22328698.79</f>
        <v>2.7045947064790874</v>
      </c>
      <c r="I38" s="19">
        <f>79909927.63/22328698.79</f>
        <v>3.5787991222214877</v>
      </c>
      <c r="J38" s="20">
        <f t="shared" si="1"/>
        <v>6.2833938287005751</v>
      </c>
    </row>
    <row r="39" spans="1:10" x14ac:dyDescent="0.3">
      <c r="B39" s="15">
        <v>79831192.930000007</v>
      </c>
      <c r="C39" s="15">
        <v>56907820.890000001</v>
      </c>
      <c r="D39" s="16">
        <f t="shared" si="2"/>
        <v>1.4028158464248657</v>
      </c>
      <c r="E39" s="18"/>
      <c r="F39" s="14">
        <v>2020</v>
      </c>
      <c r="G39" s="18"/>
      <c r="H39" s="15">
        <f>56907820.89/22328698.79</f>
        <v>2.5486402689746708</v>
      </c>
      <c r="I39" s="15">
        <f>79831192.93/22328698.79</f>
        <v>3.5752729561542003</v>
      </c>
      <c r="J39" s="16">
        <f>+H39+I39</f>
        <v>6.123913225128871</v>
      </c>
    </row>
    <row r="40" spans="1:10" x14ac:dyDescent="0.3">
      <c r="B40" s="19">
        <v>80552716.579999998</v>
      </c>
      <c r="C40" s="19">
        <v>56269246.759999998</v>
      </c>
      <c r="D40" s="20">
        <f t="shared" si="2"/>
        <v>1.4315584660938157</v>
      </c>
      <c r="E40" s="21"/>
      <c r="F40" s="22">
        <v>2021</v>
      </c>
      <c r="G40" s="21"/>
      <c r="H40" s="19">
        <f>56269246.76/37326907.82</f>
        <v>1.5074714206530273</v>
      </c>
      <c r="I40" s="19">
        <f>80552716.58/37326907.82</f>
        <v>2.1580334746303129</v>
      </c>
      <c r="J40" s="20">
        <f t="shared" si="1"/>
        <v>3.6655048952833402</v>
      </c>
    </row>
    <row r="41" spans="1:10" x14ac:dyDescent="0.3">
      <c r="B41" s="15">
        <v>92271628.900000006</v>
      </c>
      <c r="C41" s="15">
        <v>52060293.840000004</v>
      </c>
      <c r="D41" s="16">
        <f t="shared" si="2"/>
        <v>1.7723993103762321</v>
      </c>
      <c r="E41" s="18"/>
      <c r="F41" s="14">
        <v>2022</v>
      </c>
      <c r="G41" s="18"/>
      <c r="H41" s="15">
        <f>52060293.84/46150527.24</f>
        <v>1.1280541513484126</v>
      </c>
      <c r="I41" s="15">
        <f>92271628.9/46150527.24</f>
        <v>1.9993623999169723</v>
      </c>
      <c r="J41" s="16">
        <f>+H41+I41</f>
        <v>3.1274165512653846</v>
      </c>
    </row>
    <row r="42" spans="1:10" x14ac:dyDescent="0.3">
      <c r="A42" s="4"/>
    </row>
    <row r="43" spans="1:10" x14ac:dyDescent="0.3">
      <c r="A43" s="4"/>
    </row>
    <row r="44" spans="1:10" x14ac:dyDescent="0.3">
      <c r="A44" s="4"/>
    </row>
    <row r="45" spans="1:10" x14ac:dyDescent="0.3">
      <c r="A45" s="4"/>
    </row>
    <row r="46" spans="1:10" x14ac:dyDescent="0.3">
      <c r="A46" s="4"/>
    </row>
    <row r="47" spans="1:10" x14ac:dyDescent="0.3">
      <c r="A47" s="4"/>
    </row>
    <row r="48" spans="1:10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tabSelected="1" workbookViewId="0">
      <selection activeCell="G27" sqref="G27"/>
    </sheetView>
  </sheetViews>
  <sheetFormatPr defaultRowHeight="16.5" x14ac:dyDescent="0.3"/>
  <cols>
    <col min="1" max="1" width="36.7109375" style="1" bestFit="1" customWidth="1"/>
    <col min="2" max="2" width="13.140625" style="1" hidden="1" customWidth="1"/>
    <col min="3" max="7" width="13.140625" style="1" bestFit="1" customWidth="1"/>
    <col min="8" max="8" width="13.7109375" style="1" customWidth="1"/>
    <col min="9" max="16384" width="9.140625" style="1"/>
  </cols>
  <sheetData>
    <row r="1" spans="1:8" ht="20.25" x14ac:dyDescent="0.3">
      <c r="A1" s="25" t="s">
        <v>46</v>
      </c>
      <c r="B1" s="26"/>
      <c r="C1" s="26"/>
      <c r="D1" s="26"/>
      <c r="E1" s="26"/>
      <c r="F1" s="26"/>
      <c r="G1" s="26"/>
      <c r="H1" s="26"/>
    </row>
    <row r="2" spans="1:8" ht="31.5" customHeight="1" x14ac:dyDescent="0.3">
      <c r="B2" s="6">
        <v>2017</v>
      </c>
      <c r="C2" s="6">
        <v>2018</v>
      </c>
      <c r="D2" s="6">
        <v>2019</v>
      </c>
      <c r="E2" s="6">
        <v>2020</v>
      </c>
      <c r="F2" s="6">
        <v>2021</v>
      </c>
      <c r="G2" s="6">
        <v>2022</v>
      </c>
      <c r="H2" s="56" t="s">
        <v>85</v>
      </c>
    </row>
    <row r="3" spans="1:8" ht="21.75" customHeight="1" x14ac:dyDescent="0.3">
      <c r="A3" s="34" t="s">
        <v>45</v>
      </c>
      <c r="B3" s="35">
        <f>SUM(B4:B7)</f>
        <v>927031.01</v>
      </c>
      <c r="C3" s="35">
        <f t="shared" ref="C3:F3" si="0">SUM(C4:C7)</f>
        <v>1094252.6600000001</v>
      </c>
      <c r="D3" s="35">
        <f t="shared" si="0"/>
        <v>1978411.3699999999</v>
      </c>
      <c r="E3" s="35">
        <f t="shared" si="0"/>
        <v>2268084.25</v>
      </c>
      <c r="F3" s="35">
        <f t="shared" si="0"/>
        <v>2670463.34</v>
      </c>
      <c r="G3" s="35">
        <f t="shared" ref="G3:H3" si="1">SUM(G4:G7)</f>
        <v>2942976.81</v>
      </c>
      <c r="H3" s="35">
        <f t="shared" si="1"/>
        <v>2971413.1700000004</v>
      </c>
    </row>
    <row r="4" spans="1:8" x14ac:dyDescent="0.3">
      <c r="A4" s="38" t="s">
        <v>35</v>
      </c>
      <c r="B4" s="33">
        <v>0</v>
      </c>
      <c r="C4" s="33">
        <v>0</v>
      </c>
      <c r="D4" s="33">
        <v>591071.27</v>
      </c>
      <c r="E4" s="33">
        <v>566659.68000000005</v>
      </c>
      <c r="F4" s="33">
        <v>567840.62</v>
      </c>
      <c r="G4" s="33">
        <v>602464.43000000005</v>
      </c>
      <c r="H4" s="33">
        <v>402278.13</v>
      </c>
    </row>
    <row r="5" spans="1:8" x14ac:dyDescent="0.3">
      <c r="A5" s="38" t="s">
        <v>84</v>
      </c>
      <c r="B5" s="33">
        <v>579222.18000000005</v>
      </c>
      <c r="C5" s="33">
        <v>583390.23</v>
      </c>
      <c r="D5" s="33">
        <v>335298.36</v>
      </c>
      <c r="E5" s="33">
        <v>336837.82</v>
      </c>
      <c r="F5" s="33">
        <v>389578.07</v>
      </c>
      <c r="G5" s="33">
        <v>392561.27</v>
      </c>
      <c r="H5" s="33">
        <v>262753.8</v>
      </c>
    </row>
    <row r="6" spans="1:8" x14ac:dyDescent="0.3">
      <c r="A6" s="38" t="s">
        <v>36</v>
      </c>
      <c r="B6" s="33">
        <v>344079.99</v>
      </c>
      <c r="C6" s="33">
        <v>507551.82</v>
      </c>
      <c r="D6" s="33">
        <v>1051024.83</v>
      </c>
      <c r="E6" s="33">
        <v>1363923.27</v>
      </c>
      <c r="F6" s="33">
        <v>1713044.65</v>
      </c>
      <c r="G6" s="33">
        <v>1947230.94</v>
      </c>
      <c r="H6" s="33">
        <v>2296970.89</v>
      </c>
    </row>
    <row r="7" spans="1:8" x14ac:dyDescent="0.3">
      <c r="A7" s="38" t="s">
        <v>37</v>
      </c>
      <c r="B7" s="33">
        <v>3728.84</v>
      </c>
      <c r="C7" s="33">
        <v>3310.61</v>
      </c>
      <c r="D7" s="33">
        <v>1016.91</v>
      </c>
      <c r="E7" s="33">
        <v>663.48</v>
      </c>
      <c r="F7" s="33">
        <v>0</v>
      </c>
      <c r="G7" s="33">
        <v>720.17</v>
      </c>
      <c r="H7" s="33">
        <v>9410.35</v>
      </c>
    </row>
    <row r="8" spans="1:8" ht="6.75" customHeight="1" x14ac:dyDescent="0.3"/>
    <row r="9" spans="1:8" x14ac:dyDescent="0.3">
      <c r="A9" s="34" t="s">
        <v>34</v>
      </c>
      <c r="B9" s="35">
        <f>SUM(B10:B16)</f>
        <v>5326723.8999999994</v>
      </c>
      <c r="C9" s="35">
        <f t="shared" ref="C9:E9" si="2">SUM(C10:C16)</f>
        <v>5913509.1900000004</v>
      </c>
      <c r="D9" s="35">
        <f t="shared" si="2"/>
        <v>6077439.8200000003</v>
      </c>
      <c r="E9" s="35">
        <f t="shared" si="2"/>
        <v>6073266.4100000001</v>
      </c>
      <c r="F9" s="35">
        <f>SUM(F10:F16)</f>
        <v>6254984.9299999997</v>
      </c>
      <c r="G9" s="35">
        <f>SUM(G10:G16)</f>
        <v>6547020.9000000004</v>
      </c>
      <c r="H9" s="35">
        <f>SUM(H10:H16)</f>
        <v>6862295.709999999</v>
      </c>
    </row>
    <row r="10" spans="1:8" x14ac:dyDescent="0.3">
      <c r="A10" s="38" t="s">
        <v>38</v>
      </c>
      <c r="B10" s="33">
        <v>1375589.76</v>
      </c>
      <c r="C10" s="33">
        <v>1814429.3</v>
      </c>
      <c r="D10" s="33">
        <v>1752349.92</v>
      </c>
      <c r="E10" s="33">
        <v>1752464.4</v>
      </c>
      <c r="F10" s="33">
        <v>1752466.74</v>
      </c>
      <c r="G10" s="33">
        <v>1757684.97</v>
      </c>
      <c r="H10" s="33">
        <v>1784049.72</v>
      </c>
    </row>
    <row r="11" spans="1:8" x14ac:dyDescent="0.3">
      <c r="A11" s="38" t="s">
        <v>39</v>
      </c>
      <c r="B11" s="33">
        <v>1997864.96</v>
      </c>
      <c r="C11" s="33">
        <v>2042804.05</v>
      </c>
      <c r="D11" s="33">
        <v>2168242.39</v>
      </c>
      <c r="E11" s="33">
        <v>2161453.44</v>
      </c>
      <c r="F11" s="33">
        <v>2178014.6800000002</v>
      </c>
      <c r="G11" s="33">
        <v>2282649.81</v>
      </c>
      <c r="H11" s="33">
        <v>2391856.0499999998</v>
      </c>
    </row>
    <row r="12" spans="1:8" x14ac:dyDescent="0.3">
      <c r="A12" s="38" t="s">
        <v>40</v>
      </c>
      <c r="B12" s="33">
        <v>246153.48</v>
      </c>
      <c r="C12" s="33">
        <v>246153.48</v>
      </c>
      <c r="D12" s="33">
        <v>235035.64</v>
      </c>
      <c r="E12" s="33">
        <v>0</v>
      </c>
      <c r="F12" s="33">
        <v>605.99</v>
      </c>
      <c r="G12" s="33">
        <v>615.91999999999996</v>
      </c>
      <c r="H12" s="33">
        <v>627.12</v>
      </c>
    </row>
    <row r="13" spans="1:8" x14ac:dyDescent="0.3">
      <c r="A13" s="38" t="s">
        <v>41</v>
      </c>
      <c r="B13" s="33">
        <v>1630748.24</v>
      </c>
      <c r="C13" s="33">
        <v>1741687.1600000001</v>
      </c>
      <c r="D13" s="33">
        <v>1861660.92</v>
      </c>
      <c r="E13" s="33">
        <v>1986816.1600000001</v>
      </c>
      <c r="F13" s="33">
        <v>2131542.19</v>
      </c>
      <c r="G13" s="33">
        <v>2283653.59</v>
      </c>
      <c r="H13" s="33">
        <v>2448441.2599999998</v>
      </c>
    </row>
    <row r="14" spans="1:8" x14ac:dyDescent="0.3">
      <c r="A14" s="38" t="s">
        <v>42</v>
      </c>
      <c r="B14" s="33"/>
      <c r="C14" s="33"/>
      <c r="D14" s="33"/>
      <c r="E14" s="33">
        <v>143832.20000000001</v>
      </c>
      <c r="F14" s="33">
        <v>142537.71</v>
      </c>
      <c r="G14" s="33">
        <v>146103.66</v>
      </c>
      <c r="H14" s="33">
        <v>159999.87</v>
      </c>
    </row>
    <row r="15" spans="1:8" x14ac:dyDescent="0.3">
      <c r="A15" s="38" t="s">
        <v>43</v>
      </c>
      <c r="B15" s="33">
        <v>41592.520000000004</v>
      </c>
      <c r="C15" s="33">
        <v>42157.08</v>
      </c>
      <c r="D15" s="33">
        <v>42525.61</v>
      </c>
      <c r="E15" s="33">
        <v>25002.11</v>
      </c>
      <c r="F15" s="33">
        <v>44081.25</v>
      </c>
      <c r="G15" s="33">
        <v>41872.07</v>
      </c>
      <c r="H15" s="33">
        <v>47726.84</v>
      </c>
    </row>
    <row r="16" spans="1:8" x14ac:dyDescent="0.3">
      <c r="A16" s="38" t="s">
        <v>44</v>
      </c>
      <c r="B16" s="33">
        <v>34774.94</v>
      </c>
      <c r="C16" s="33">
        <v>26278.12</v>
      </c>
      <c r="D16" s="33">
        <v>17625.34</v>
      </c>
      <c r="E16" s="33">
        <v>3698.1</v>
      </c>
      <c r="F16" s="33">
        <v>5736.37</v>
      </c>
      <c r="G16" s="33">
        <v>34440.879999999997</v>
      </c>
      <c r="H16" s="33">
        <v>29594.85</v>
      </c>
    </row>
    <row r="17" spans="1:8" ht="12" customHeight="1" x14ac:dyDescent="0.3"/>
    <row r="18" spans="1:8" ht="17.25" x14ac:dyDescent="0.3">
      <c r="A18" s="36" t="s">
        <v>47</v>
      </c>
      <c r="B18" s="37">
        <f>+B3+B9</f>
        <v>6253754.9099999992</v>
      </c>
      <c r="C18" s="37">
        <f t="shared" ref="C18:F18" si="3">+C3+C9</f>
        <v>7007761.8500000006</v>
      </c>
      <c r="D18" s="37">
        <f t="shared" si="3"/>
        <v>8055851.1900000004</v>
      </c>
      <c r="E18" s="37">
        <f t="shared" si="3"/>
        <v>8341350.6600000001</v>
      </c>
      <c r="F18" s="37">
        <f t="shared" si="3"/>
        <v>8925448.2699999996</v>
      </c>
      <c r="G18" s="37">
        <f t="shared" ref="G18:H18" si="4">+G3+G9</f>
        <v>9489997.7100000009</v>
      </c>
      <c r="H18" s="37">
        <f t="shared" si="4"/>
        <v>9833708.879999999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8"/>
  <sheetViews>
    <sheetView workbookViewId="0">
      <selection activeCell="H4" sqref="H4"/>
    </sheetView>
  </sheetViews>
  <sheetFormatPr defaultRowHeight="16.5" x14ac:dyDescent="0.3"/>
  <cols>
    <col min="1" max="1" width="67.28515625" style="1" bestFit="1" customWidth="1"/>
    <col min="2" max="2" width="17.140625" style="1" customWidth="1"/>
    <col min="3" max="3" width="13.140625" style="1" bestFit="1" customWidth="1"/>
    <col min="4" max="4" width="13.28515625" bestFit="1" customWidth="1"/>
    <col min="5" max="8" width="13.28515625" style="1" bestFit="1" customWidth="1"/>
    <col min="9" max="16384" width="9.140625" style="1"/>
  </cols>
  <sheetData>
    <row r="2" spans="1:8" ht="36" customHeight="1" x14ac:dyDescent="0.3">
      <c r="A2" s="55" t="s">
        <v>83</v>
      </c>
      <c r="B2" s="6">
        <v>2017</v>
      </c>
      <c r="C2" s="6">
        <v>2018</v>
      </c>
      <c r="D2" s="6">
        <v>2019</v>
      </c>
      <c r="E2" s="6">
        <v>2020</v>
      </c>
      <c r="F2" s="6">
        <v>2021</v>
      </c>
      <c r="G2" s="6">
        <v>2022</v>
      </c>
      <c r="H2" s="56" t="s">
        <v>86</v>
      </c>
    </row>
    <row r="3" spans="1:8" x14ac:dyDescent="0.3">
      <c r="A3" s="55"/>
      <c r="B3" s="3">
        <v>7361804.9200000009</v>
      </c>
      <c r="C3" s="3">
        <v>7569983.3600000003</v>
      </c>
      <c r="D3" s="3">
        <v>7503119.9899999993</v>
      </c>
      <c r="E3" s="3">
        <v>4792424.0999999996</v>
      </c>
      <c r="F3" s="53">
        <v>4393987.6199999992</v>
      </c>
      <c r="G3" s="53">
        <f>4906555.32+113934.08</f>
        <v>5020489.4000000004</v>
      </c>
      <c r="H3" s="53">
        <f>5193395.81+13718.04</f>
        <v>5207113.8499999996</v>
      </c>
    </row>
    <row r="8" spans="1:8" x14ac:dyDescent="0.3">
      <c r="F8" s="3"/>
      <c r="G8" s="3"/>
      <c r="H8" s="3"/>
    </row>
  </sheetData>
  <mergeCells count="1">
    <mergeCell ref="A2:A3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26" sqref="O26"/>
    </sheetView>
  </sheetViews>
  <sheetFormatPr defaultRowHeight="14.25" x14ac:dyDescent="0.3"/>
  <cols>
    <col min="1" max="1" width="54" style="39" bestFit="1" customWidth="1"/>
    <col min="2" max="7" width="14.28515625" style="39" bestFit="1" customWidth="1"/>
    <col min="8" max="8" width="15.140625" style="39" customWidth="1"/>
    <col min="9" max="16384" width="9.140625" style="39"/>
  </cols>
  <sheetData>
    <row r="2" spans="1:13" ht="20.25" x14ac:dyDescent="0.3">
      <c r="A2" s="25" t="s">
        <v>81</v>
      </c>
      <c r="B2" s="28"/>
      <c r="C2" s="28"/>
      <c r="D2" s="28"/>
      <c r="E2" s="28"/>
      <c r="F2" s="28"/>
      <c r="G2" s="28"/>
      <c r="H2" s="28"/>
    </row>
    <row r="4" spans="1:13" ht="30" x14ac:dyDescent="0.3">
      <c r="B4" s="27">
        <v>2017</v>
      </c>
      <c r="C4" s="27">
        <v>2018</v>
      </c>
      <c r="D4" s="27">
        <v>2019</v>
      </c>
      <c r="E4" s="27">
        <v>2020</v>
      </c>
      <c r="F4" s="27">
        <v>2021</v>
      </c>
      <c r="G4" s="27">
        <v>2022</v>
      </c>
      <c r="H4" s="57" t="s">
        <v>86</v>
      </c>
    </row>
    <row r="5" spans="1:13" x14ac:dyDescent="0.3">
      <c r="A5" s="40" t="s">
        <v>48</v>
      </c>
      <c r="B5" s="42">
        <v>826207.73</v>
      </c>
      <c r="C5" s="42">
        <v>899228.95000000007</v>
      </c>
      <c r="D5" s="42">
        <v>906180.22</v>
      </c>
      <c r="E5" s="42">
        <v>902345.58000000007</v>
      </c>
      <c r="F5" s="42">
        <v>860459.04</v>
      </c>
      <c r="G5" s="42">
        <v>831668.55</v>
      </c>
      <c r="H5" s="42">
        <v>849420.65</v>
      </c>
      <c r="I5" s="42"/>
      <c r="J5" s="42"/>
      <c r="K5" s="42"/>
      <c r="L5" s="42"/>
      <c r="M5" s="42"/>
    </row>
    <row r="6" spans="1:13" x14ac:dyDescent="0.3">
      <c r="A6" s="40" t="s">
        <v>49</v>
      </c>
      <c r="B6" s="42">
        <v>26754.95</v>
      </c>
      <c r="C6" s="42">
        <v>25636.12</v>
      </c>
      <c r="D6" s="42">
        <v>15547.39</v>
      </c>
      <c r="E6" s="42">
        <v>29202.799999999999</v>
      </c>
      <c r="F6" s="42">
        <v>28616.57</v>
      </c>
      <c r="G6" s="42">
        <v>34140.019999999997</v>
      </c>
      <c r="H6" s="42">
        <v>30547.59</v>
      </c>
      <c r="I6" s="42"/>
      <c r="J6" s="42"/>
      <c r="K6" s="42"/>
      <c r="L6" s="42"/>
      <c r="M6" s="42"/>
    </row>
    <row r="7" spans="1:13" x14ac:dyDescent="0.3">
      <c r="A7" s="40" t="s">
        <v>50</v>
      </c>
      <c r="B7" s="42">
        <v>88125.55</v>
      </c>
      <c r="C7" s="42">
        <v>94959.77</v>
      </c>
      <c r="D7" s="42">
        <v>102837.47</v>
      </c>
      <c r="E7" s="42">
        <v>125912.64</v>
      </c>
      <c r="F7" s="42">
        <v>114481.08</v>
      </c>
      <c r="G7" s="42">
        <v>146078.43</v>
      </c>
      <c r="H7" s="42">
        <v>120296.28</v>
      </c>
      <c r="I7" s="42"/>
      <c r="J7" s="42"/>
      <c r="K7" s="42"/>
      <c r="L7" s="42"/>
      <c r="M7" s="42"/>
    </row>
    <row r="8" spans="1:13" x14ac:dyDescent="0.3">
      <c r="A8" s="40" t="s">
        <v>51</v>
      </c>
      <c r="B8" s="42">
        <v>905356.27</v>
      </c>
      <c r="C8" s="42">
        <v>593121.4</v>
      </c>
      <c r="D8" s="42">
        <v>857327.14</v>
      </c>
      <c r="E8" s="42">
        <v>851063.3</v>
      </c>
      <c r="F8" s="42">
        <v>914232.61</v>
      </c>
      <c r="G8" s="42">
        <v>798003.94</v>
      </c>
      <c r="H8" s="42">
        <v>700509.68</v>
      </c>
      <c r="I8" s="42"/>
      <c r="J8" s="42"/>
      <c r="K8" s="42"/>
      <c r="L8" s="42"/>
      <c r="M8" s="42"/>
    </row>
    <row r="9" spans="1:13" x14ac:dyDescent="0.3">
      <c r="A9" s="40" t="s">
        <v>52</v>
      </c>
      <c r="B9" s="42">
        <v>198531.32</v>
      </c>
      <c r="C9" s="42">
        <v>247573.59</v>
      </c>
      <c r="D9" s="42">
        <v>257744.35</v>
      </c>
      <c r="E9" s="42">
        <v>209646.68</v>
      </c>
      <c r="F9" s="42">
        <v>253769.68</v>
      </c>
      <c r="G9" s="42">
        <v>251889.23</v>
      </c>
      <c r="H9" s="42">
        <v>208281.8</v>
      </c>
      <c r="I9" s="42"/>
      <c r="J9" s="42"/>
      <c r="K9" s="42"/>
      <c r="L9" s="42"/>
      <c r="M9" s="42"/>
    </row>
    <row r="10" spans="1:13" x14ac:dyDescent="0.3">
      <c r="A10" s="40" t="s">
        <v>53</v>
      </c>
      <c r="B10" s="42">
        <v>12454661.74</v>
      </c>
      <c r="C10" s="42">
        <v>12174086.890000001</v>
      </c>
      <c r="D10" s="42">
        <v>12186020.640000001</v>
      </c>
      <c r="E10" s="42">
        <v>8800759.1600000001</v>
      </c>
      <c r="F10" s="42">
        <v>8200917.7999999998</v>
      </c>
      <c r="G10" s="42">
        <v>7952126.9400000004</v>
      </c>
      <c r="H10" s="42">
        <v>7989437.7999999998</v>
      </c>
      <c r="I10" s="42"/>
      <c r="J10" s="42"/>
      <c r="K10" s="42"/>
      <c r="L10" s="42"/>
      <c r="M10" s="42"/>
    </row>
    <row r="11" spans="1:13" x14ac:dyDescent="0.3">
      <c r="A11" s="40" t="s">
        <v>54</v>
      </c>
      <c r="B11" s="42">
        <v>2297859.9700000002</v>
      </c>
      <c r="C11" s="42">
        <v>2782920.31</v>
      </c>
      <c r="D11" s="42">
        <v>3010985.99</v>
      </c>
      <c r="E11" s="42">
        <v>2757654.6</v>
      </c>
      <c r="F11" s="42">
        <v>2581256.88</v>
      </c>
      <c r="G11" s="42">
        <v>2187031.37</v>
      </c>
      <c r="H11" s="42">
        <v>2334917.7400000002</v>
      </c>
      <c r="I11" s="42"/>
      <c r="J11" s="42"/>
      <c r="K11" s="42"/>
      <c r="L11" s="42"/>
      <c r="M11" s="42"/>
    </row>
    <row r="12" spans="1:13" x14ac:dyDescent="0.3">
      <c r="A12" s="40" t="s">
        <v>55</v>
      </c>
      <c r="B12" s="42">
        <v>315664.95</v>
      </c>
      <c r="C12" s="42">
        <v>368499.68</v>
      </c>
      <c r="D12" s="42">
        <v>321318.68</v>
      </c>
      <c r="E12" s="42">
        <v>300571.81</v>
      </c>
      <c r="F12" s="42">
        <v>324881.82</v>
      </c>
      <c r="G12" s="42">
        <v>324262.59999999998</v>
      </c>
      <c r="H12" s="42">
        <v>414511.74</v>
      </c>
      <c r="I12" s="42"/>
      <c r="J12" s="42"/>
      <c r="K12" s="42"/>
      <c r="L12" s="42"/>
      <c r="M12" s="42"/>
    </row>
    <row r="13" spans="1:13" x14ac:dyDescent="0.3">
      <c r="A13" s="40" t="s">
        <v>56</v>
      </c>
      <c r="B13" s="42">
        <v>1902370.24</v>
      </c>
      <c r="C13" s="42">
        <v>1879046.85</v>
      </c>
      <c r="D13" s="42">
        <v>1777816.4</v>
      </c>
      <c r="E13" s="42">
        <v>1762265.69</v>
      </c>
      <c r="F13" s="42">
        <v>1666556.14</v>
      </c>
      <c r="G13" s="42">
        <v>1680392.41</v>
      </c>
      <c r="H13" s="42">
        <v>1211887.47</v>
      </c>
      <c r="I13" s="42"/>
      <c r="J13" s="42"/>
      <c r="K13" s="42"/>
      <c r="L13" s="42"/>
      <c r="M13" s="42"/>
    </row>
    <row r="14" spans="1:13" x14ac:dyDescent="0.3">
      <c r="A14" s="40" t="s">
        <v>57</v>
      </c>
      <c r="B14" s="42">
        <v>398607.59</v>
      </c>
      <c r="C14" s="42">
        <v>422987.60000000003</v>
      </c>
      <c r="D14" s="42">
        <v>344439.03</v>
      </c>
      <c r="E14" s="42">
        <v>327700.10000000003</v>
      </c>
      <c r="F14" s="42">
        <v>404345.26</v>
      </c>
      <c r="G14" s="42">
        <v>364167.44</v>
      </c>
      <c r="H14" s="42">
        <v>260097.76</v>
      </c>
      <c r="I14" s="42"/>
      <c r="J14" s="42"/>
      <c r="K14" s="42"/>
      <c r="L14" s="42"/>
      <c r="M14" s="42"/>
    </row>
    <row r="15" spans="1:13" x14ac:dyDescent="0.3">
      <c r="A15" s="40" t="s">
        <v>58</v>
      </c>
      <c r="B15" s="42">
        <v>955903.9</v>
      </c>
      <c r="C15" s="42">
        <v>1043252.93</v>
      </c>
      <c r="D15" s="42">
        <v>955059.28</v>
      </c>
      <c r="E15" s="42">
        <v>1157660.67</v>
      </c>
      <c r="F15" s="42">
        <v>1043922.15</v>
      </c>
      <c r="G15" s="42">
        <v>968659.95</v>
      </c>
      <c r="H15" s="42">
        <v>1001462.17</v>
      </c>
      <c r="I15" s="42"/>
      <c r="J15" s="42"/>
      <c r="K15" s="42"/>
      <c r="L15" s="42"/>
      <c r="M15" s="42"/>
    </row>
    <row r="16" spans="1:13" x14ac:dyDescent="0.3">
      <c r="A16" s="40" t="s">
        <v>59</v>
      </c>
      <c r="B16" s="42">
        <v>3480207.02</v>
      </c>
      <c r="C16" s="42">
        <v>3375574.92</v>
      </c>
      <c r="D16" s="42">
        <v>3416678.45</v>
      </c>
      <c r="E16" s="42">
        <v>1842984.1800000002</v>
      </c>
      <c r="F16" s="42">
        <v>1690036.55</v>
      </c>
      <c r="G16" s="42">
        <v>1447620.55</v>
      </c>
      <c r="H16" s="42">
        <v>1365420.27</v>
      </c>
      <c r="I16" s="42"/>
      <c r="J16" s="42"/>
      <c r="K16" s="42"/>
      <c r="L16" s="42"/>
      <c r="M16" s="42"/>
    </row>
    <row r="17" spans="1:13" x14ac:dyDescent="0.3">
      <c r="A17" s="40" t="s">
        <v>60</v>
      </c>
      <c r="B17" s="42">
        <v>413804.66000000003</v>
      </c>
      <c r="C17" s="42">
        <v>396412.15</v>
      </c>
      <c r="D17" s="42">
        <v>469600.53</v>
      </c>
      <c r="E17" s="42">
        <v>384787.86</v>
      </c>
      <c r="F17" s="42">
        <v>552653.06999999995</v>
      </c>
      <c r="G17" s="42">
        <v>507330.22</v>
      </c>
      <c r="H17" s="42">
        <v>599308.52</v>
      </c>
      <c r="I17" s="42"/>
      <c r="J17" s="42"/>
      <c r="K17" s="42"/>
      <c r="L17" s="42"/>
      <c r="M17" s="42"/>
    </row>
    <row r="18" spans="1:13" x14ac:dyDescent="0.3">
      <c r="A18" s="40" t="s">
        <v>61</v>
      </c>
      <c r="B18" s="42">
        <v>2311013.69</v>
      </c>
      <c r="C18" s="42">
        <v>2362120.6800000002</v>
      </c>
      <c r="D18" s="42">
        <v>2495508.02</v>
      </c>
      <c r="E18" s="42">
        <v>2675390.1</v>
      </c>
      <c r="F18" s="42">
        <v>2538317.7400000002</v>
      </c>
      <c r="G18" s="42">
        <v>2518951.27</v>
      </c>
      <c r="H18" s="42">
        <v>2197876.54</v>
      </c>
      <c r="I18" s="42"/>
      <c r="J18" s="42"/>
      <c r="K18" s="42"/>
      <c r="L18" s="42"/>
      <c r="M18" s="42"/>
    </row>
    <row r="19" spans="1:13" x14ac:dyDescent="0.3">
      <c r="A19" s="40" t="s">
        <v>62</v>
      </c>
      <c r="B19" s="41">
        <v>245520.58000000002</v>
      </c>
      <c r="C19" s="42">
        <v>233723.29</v>
      </c>
      <c r="D19" s="42">
        <v>278843.86</v>
      </c>
      <c r="E19" s="42">
        <v>565741.65</v>
      </c>
      <c r="F19" s="42">
        <v>514969.43</v>
      </c>
      <c r="G19" s="42">
        <v>295309.59000000003</v>
      </c>
      <c r="H19" s="42">
        <v>329553.63</v>
      </c>
      <c r="I19" s="42"/>
      <c r="J19" s="42"/>
      <c r="K19" s="42"/>
      <c r="L19" s="42"/>
      <c r="M19" s="42"/>
    </row>
    <row r="20" spans="1:13" x14ac:dyDescent="0.3">
      <c r="A20" s="40" t="s">
        <v>63</v>
      </c>
      <c r="B20" s="41">
        <v>783276.82000000007</v>
      </c>
      <c r="C20" s="42">
        <v>810806.17</v>
      </c>
      <c r="D20" s="42">
        <v>814595.69000000006</v>
      </c>
      <c r="E20" s="42">
        <v>814003</v>
      </c>
      <c r="F20" s="42">
        <v>798450.32</v>
      </c>
      <c r="G20" s="42">
        <v>799046.24</v>
      </c>
      <c r="H20" s="42">
        <v>762854.3</v>
      </c>
      <c r="I20" s="42"/>
      <c r="J20" s="42"/>
      <c r="K20" s="42"/>
      <c r="L20" s="42"/>
      <c r="M20" s="42"/>
    </row>
    <row r="21" spans="1:13" x14ac:dyDescent="0.3">
      <c r="A21" s="40" t="s">
        <v>64</v>
      </c>
      <c r="B21" s="41">
        <v>46591.13</v>
      </c>
      <c r="C21" s="42">
        <v>44576.840000000004</v>
      </c>
      <c r="D21" s="42">
        <v>37261.25</v>
      </c>
      <c r="E21" s="42">
        <v>37697.770000000004</v>
      </c>
      <c r="F21" s="42">
        <v>29390.81</v>
      </c>
      <c r="G21" s="42">
        <v>21441.81</v>
      </c>
      <c r="H21" s="42">
        <v>32074.73</v>
      </c>
      <c r="I21" s="42"/>
      <c r="J21" s="42"/>
      <c r="K21" s="42"/>
      <c r="L21" s="42"/>
      <c r="M21" s="42"/>
    </row>
    <row r="22" spans="1:13" x14ac:dyDescent="0.3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x14ac:dyDescent="0.3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x14ac:dyDescent="0.3">
      <c r="A24" s="40" t="s">
        <v>65</v>
      </c>
      <c r="B24" s="41">
        <v>467807.04000000004</v>
      </c>
      <c r="C24" s="42">
        <v>218212.18</v>
      </c>
      <c r="D24" s="42">
        <v>284587.07</v>
      </c>
      <c r="E24" s="42">
        <v>134072.23000000001</v>
      </c>
      <c r="F24" s="42">
        <v>220315.73</v>
      </c>
      <c r="G24" s="42">
        <v>290452.08</v>
      </c>
      <c r="H24" s="42">
        <v>255719.66</v>
      </c>
      <c r="I24" s="42"/>
      <c r="J24" s="42"/>
      <c r="K24" s="42"/>
      <c r="L24" s="42"/>
      <c r="M24" s="42"/>
    </row>
    <row r="25" spans="1:13" x14ac:dyDescent="0.3">
      <c r="A25" s="40" t="s">
        <v>66</v>
      </c>
      <c r="B25" s="41">
        <v>30691.39</v>
      </c>
      <c r="C25" s="42">
        <v>11745.1</v>
      </c>
      <c r="D25" s="42">
        <v>22425.420000000002</v>
      </c>
      <c r="E25" s="42">
        <v>16817.240000000002</v>
      </c>
      <c r="F25" s="42">
        <v>13298.31</v>
      </c>
      <c r="G25" s="42">
        <v>28083.82</v>
      </c>
      <c r="H25" s="42">
        <v>14294.66</v>
      </c>
      <c r="I25" s="42"/>
      <c r="J25" s="42"/>
      <c r="K25" s="42"/>
      <c r="L25" s="42"/>
      <c r="M25" s="42"/>
    </row>
    <row r="26" spans="1:13" x14ac:dyDescent="0.3">
      <c r="A26" s="40" t="s">
        <v>67</v>
      </c>
      <c r="B26" s="41">
        <v>1092491.42</v>
      </c>
      <c r="C26" s="42">
        <v>1204576.3999999999</v>
      </c>
      <c r="D26" s="42">
        <v>1064346.57</v>
      </c>
      <c r="E26" s="42">
        <v>702444.15</v>
      </c>
      <c r="F26" s="42">
        <v>351384.71</v>
      </c>
      <c r="G26" s="42">
        <v>1194821.8899999999</v>
      </c>
      <c r="H26" s="42">
        <v>1318279.3999999999</v>
      </c>
      <c r="I26" s="42"/>
      <c r="J26" s="42"/>
      <c r="K26" s="42"/>
      <c r="L26" s="42"/>
      <c r="M26" s="42"/>
    </row>
    <row r="27" spans="1:13" x14ac:dyDescent="0.3">
      <c r="A27" s="40" t="s">
        <v>68</v>
      </c>
      <c r="B27" s="41">
        <v>613758.88</v>
      </c>
      <c r="C27" s="42">
        <v>676844.5</v>
      </c>
      <c r="D27" s="42">
        <v>834235.53</v>
      </c>
      <c r="E27" s="42">
        <v>551236.36</v>
      </c>
      <c r="F27" s="42">
        <v>87670.81</v>
      </c>
      <c r="G27" s="42">
        <v>937738.92</v>
      </c>
      <c r="H27" s="42">
        <v>1035555.67</v>
      </c>
      <c r="I27" s="42"/>
      <c r="J27" s="42"/>
      <c r="K27" s="42"/>
      <c r="L27" s="42"/>
      <c r="M27" s="42"/>
    </row>
    <row r="28" spans="1:13" x14ac:dyDescent="0.3">
      <c r="A28" s="40" t="s">
        <v>69</v>
      </c>
      <c r="B28" s="41">
        <v>162177.17000000001</v>
      </c>
      <c r="C28" s="42">
        <v>154303.5</v>
      </c>
      <c r="D28" s="42">
        <v>194183.62</v>
      </c>
      <c r="E28" s="42">
        <v>15843.65</v>
      </c>
      <c r="F28" s="42">
        <v>51621.37</v>
      </c>
      <c r="G28" s="42">
        <v>154039.9</v>
      </c>
      <c r="H28" s="42">
        <v>258957.21</v>
      </c>
      <c r="I28" s="42"/>
      <c r="J28" s="42"/>
      <c r="K28" s="42"/>
      <c r="L28" s="42"/>
      <c r="M28" s="42"/>
    </row>
    <row r="29" spans="1:13" x14ac:dyDescent="0.3">
      <c r="A29" s="40" t="s">
        <v>70</v>
      </c>
      <c r="B29" s="41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/>
      <c r="J29" s="42"/>
      <c r="K29" s="42"/>
      <c r="L29" s="42"/>
      <c r="M29" s="42"/>
    </row>
    <row r="31" spans="1:13" x14ac:dyDescent="0.3">
      <c r="A31" s="49" t="s">
        <v>71</v>
      </c>
      <c r="B31" s="47">
        <f t="shared" ref="B31:F31" si="0">+SUM(B5:B9)</f>
        <v>2044975.82</v>
      </c>
      <c r="C31" s="47">
        <f t="shared" si="0"/>
        <v>1860519.8300000003</v>
      </c>
      <c r="D31" s="47">
        <f t="shared" si="0"/>
        <v>2139636.5699999998</v>
      </c>
      <c r="E31" s="47">
        <f t="shared" si="0"/>
        <v>2118171</v>
      </c>
      <c r="F31" s="47">
        <f t="shared" si="0"/>
        <v>2171558.98</v>
      </c>
      <c r="G31" s="47">
        <f>+SUM(G5:G9)</f>
        <v>2061780.17</v>
      </c>
      <c r="H31" s="47">
        <f>+SUM(H5:H9)</f>
        <v>1909056.0000000002</v>
      </c>
    </row>
    <row r="32" spans="1:13" x14ac:dyDescent="0.3">
      <c r="A32" s="50" t="s">
        <v>72</v>
      </c>
      <c r="B32" s="48">
        <f t="shared" ref="B32:F32" si="1">SUM(B10:B18)</f>
        <v>24530093.759999998</v>
      </c>
      <c r="C32" s="48">
        <f t="shared" si="1"/>
        <v>24804902.009999998</v>
      </c>
      <c r="D32" s="48">
        <f t="shared" si="1"/>
        <v>24977427.020000003</v>
      </c>
      <c r="E32" s="48">
        <f t="shared" si="1"/>
        <v>20009774.170000002</v>
      </c>
      <c r="F32" s="48">
        <f t="shared" si="1"/>
        <v>19002887.410000004</v>
      </c>
      <c r="G32" s="48">
        <f>SUM(G10:G18)</f>
        <v>17950542.75</v>
      </c>
      <c r="H32" s="48">
        <f>SUM(H10:H18)</f>
        <v>17374920.009999998</v>
      </c>
    </row>
    <row r="33" spans="1:8" x14ac:dyDescent="0.3">
      <c r="A33" s="50" t="s">
        <v>73</v>
      </c>
      <c r="B33" s="48">
        <f t="shared" ref="B33:F33" si="2">+B19</f>
        <v>245520.58000000002</v>
      </c>
      <c r="C33" s="48">
        <f t="shared" si="2"/>
        <v>233723.29</v>
      </c>
      <c r="D33" s="48">
        <f t="shared" si="2"/>
        <v>278843.86</v>
      </c>
      <c r="E33" s="48">
        <f t="shared" si="2"/>
        <v>565741.65</v>
      </c>
      <c r="F33" s="48">
        <f t="shared" si="2"/>
        <v>514969.43</v>
      </c>
      <c r="G33" s="48">
        <f>+G19</f>
        <v>295309.59000000003</v>
      </c>
      <c r="H33" s="48">
        <f>+H19</f>
        <v>329553.63</v>
      </c>
    </row>
    <row r="34" spans="1:8" x14ac:dyDescent="0.3">
      <c r="A34" s="50" t="s">
        <v>74</v>
      </c>
      <c r="B34" s="48">
        <f t="shared" ref="B34:F34" si="3">+SUM(B20:B21)</f>
        <v>829867.95000000007</v>
      </c>
      <c r="C34" s="48">
        <f t="shared" si="3"/>
        <v>855383.01</v>
      </c>
      <c r="D34" s="48">
        <f t="shared" si="3"/>
        <v>851856.94000000006</v>
      </c>
      <c r="E34" s="48">
        <f t="shared" si="3"/>
        <v>851700.77</v>
      </c>
      <c r="F34" s="48">
        <f t="shared" si="3"/>
        <v>827841.13</v>
      </c>
      <c r="G34" s="48">
        <f>+SUM(G20:G21)</f>
        <v>820488.05</v>
      </c>
      <c r="H34" s="48">
        <f>+SUM(H20:H21)</f>
        <v>794929.03</v>
      </c>
    </row>
    <row r="35" spans="1:8" x14ac:dyDescent="0.3">
      <c r="A35" s="50" t="s">
        <v>79</v>
      </c>
      <c r="B35" s="48">
        <f t="shared" ref="B35:F35" si="4">-(B17+B16+B6)</f>
        <v>-3920766.6300000004</v>
      </c>
      <c r="C35" s="48">
        <f t="shared" si="4"/>
        <v>-3797623.19</v>
      </c>
      <c r="D35" s="48">
        <f t="shared" si="4"/>
        <v>-3901826.3700000006</v>
      </c>
      <c r="E35" s="48">
        <f t="shared" si="4"/>
        <v>-2256974.84</v>
      </c>
      <c r="F35" s="48">
        <f t="shared" si="4"/>
        <v>-2271306.19</v>
      </c>
      <c r="G35" s="48">
        <f>-(G17+G16+G6)</f>
        <v>-1989090.79</v>
      </c>
      <c r="H35" s="48">
        <f>-(H17+H16+H6)</f>
        <v>-1995276.3800000001</v>
      </c>
    </row>
    <row r="36" spans="1:8" ht="15.75" x14ac:dyDescent="0.3">
      <c r="A36" s="45" t="s">
        <v>80</v>
      </c>
      <c r="B36" s="46">
        <f t="shared" ref="B36:F36" si="5">SUM(B31:B35)</f>
        <v>23729691.479999997</v>
      </c>
      <c r="C36" s="46">
        <f t="shared" si="5"/>
        <v>23956904.949999999</v>
      </c>
      <c r="D36" s="46">
        <f t="shared" si="5"/>
        <v>24345938.020000003</v>
      </c>
      <c r="E36" s="46">
        <f t="shared" si="5"/>
        <v>21288412.75</v>
      </c>
      <c r="F36" s="46">
        <f t="shared" si="5"/>
        <v>20245950.760000002</v>
      </c>
      <c r="G36" s="46">
        <f>SUM(G31:G35)</f>
        <v>19139029.770000003</v>
      </c>
      <c r="H36" s="46">
        <f>SUM(H31:H35)</f>
        <v>18413182.289999999</v>
      </c>
    </row>
    <row r="37" spans="1:8" ht="15.75" x14ac:dyDescent="0.3">
      <c r="A37" s="24"/>
      <c r="B37" s="44"/>
      <c r="C37" s="44"/>
      <c r="D37" s="44"/>
      <c r="E37" s="44"/>
      <c r="F37" s="44"/>
    </row>
    <row r="38" spans="1:8" ht="15.75" x14ac:dyDescent="0.3">
      <c r="A38" s="51"/>
      <c r="B38" s="52"/>
      <c r="C38" s="52"/>
      <c r="D38" s="52"/>
      <c r="E38" s="52"/>
      <c r="F38" s="52"/>
      <c r="G38" s="52"/>
      <c r="H38" s="52"/>
    </row>
    <row r="39" spans="1:8" ht="16.5" x14ac:dyDescent="0.3">
      <c r="A39" s="1"/>
      <c r="B39" s="1"/>
      <c r="C39" s="1"/>
      <c r="D39" s="1"/>
      <c r="E39" s="1"/>
      <c r="F39" s="1"/>
    </row>
    <row r="40" spans="1:8" ht="30" x14ac:dyDescent="0.3">
      <c r="A40" s="1"/>
      <c r="B40" s="27">
        <v>2017</v>
      </c>
      <c r="C40" s="27">
        <v>2018</v>
      </c>
      <c r="D40" s="27">
        <v>2019</v>
      </c>
      <c r="E40" s="27">
        <v>2020</v>
      </c>
      <c r="F40" s="27">
        <v>2021</v>
      </c>
      <c r="G40" s="27">
        <v>2022</v>
      </c>
      <c r="H40" s="57" t="s">
        <v>86</v>
      </c>
    </row>
    <row r="41" spans="1:8" x14ac:dyDescent="0.3">
      <c r="A41" s="43" t="s">
        <v>76</v>
      </c>
      <c r="B41" s="32">
        <f t="shared" ref="B41:F41" si="6">+B24+B25</f>
        <v>498498.43000000005</v>
      </c>
      <c r="C41" s="32">
        <f t="shared" si="6"/>
        <v>229957.28</v>
      </c>
      <c r="D41" s="32">
        <f t="shared" si="6"/>
        <v>307012.49</v>
      </c>
      <c r="E41" s="32">
        <f t="shared" si="6"/>
        <v>150889.47</v>
      </c>
      <c r="F41" s="32">
        <f t="shared" si="6"/>
        <v>233614.04</v>
      </c>
      <c r="G41" s="32">
        <f>+G24+G25</f>
        <v>318535.90000000002</v>
      </c>
      <c r="H41" s="32">
        <f>+H24+H25</f>
        <v>270014.32</v>
      </c>
    </row>
    <row r="42" spans="1:8" x14ac:dyDescent="0.3">
      <c r="A42" s="43" t="s">
        <v>77</v>
      </c>
      <c r="B42" s="32">
        <f t="shared" ref="B42:F42" si="7">+B26+B27</f>
        <v>1706250.2999999998</v>
      </c>
      <c r="C42" s="32">
        <f t="shared" si="7"/>
        <v>1881420.9</v>
      </c>
      <c r="D42" s="32">
        <f t="shared" si="7"/>
        <v>1898582.1</v>
      </c>
      <c r="E42" s="32">
        <f t="shared" si="7"/>
        <v>1253680.51</v>
      </c>
      <c r="F42" s="32">
        <f>+F26+F27</f>
        <v>439055.52</v>
      </c>
      <c r="G42" s="32">
        <f>+G26+G27</f>
        <v>2132560.81</v>
      </c>
      <c r="H42" s="32">
        <f>+H26+H27</f>
        <v>2353835.0699999998</v>
      </c>
    </row>
    <row r="43" spans="1:8" x14ac:dyDescent="0.3">
      <c r="A43" s="43" t="s">
        <v>78</v>
      </c>
      <c r="B43" s="32">
        <f t="shared" ref="B43:F43" si="8">+B28+B29</f>
        <v>162177.17000000001</v>
      </c>
      <c r="C43" s="32">
        <f t="shared" si="8"/>
        <v>154303.5</v>
      </c>
      <c r="D43" s="32">
        <f t="shared" si="8"/>
        <v>194183.62</v>
      </c>
      <c r="E43" s="32">
        <f t="shared" si="8"/>
        <v>15843.65</v>
      </c>
      <c r="F43" s="32">
        <f t="shared" si="8"/>
        <v>51621.37</v>
      </c>
      <c r="G43" s="32">
        <f>+G28+G29</f>
        <v>154039.9</v>
      </c>
      <c r="H43" s="32">
        <f>+H28+H29</f>
        <v>258957.21</v>
      </c>
    </row>
    <row r="44" spans="1:8" ht="15.75" x14ac:dyDescent="0.3">
      <c r="A44" s="45" t="s">
        <v>75</v>
      </c>
      <c r="B44" s="46">
        <f t="shared" ref="B44:F44" si="9">SUM(B41:B43)</f>
        <v>2366925.9</v>
      </c>
      <c r="C44" s="46">
        <f t="shared" si="9"/>
        <v>2265681.6799999997</v>
      </c>
      <c r="D44" s="46">
        <f t="shared" si="9"/>
        <v>2399778.21</v>
      </c>
      <c r="E44" s="46">
        <f t="shared" si="9"/>
        <v>1420413.63</v>
      </c>
      <c r="F44" s="46">
        <f t="shared" si="9"/>
        <v>724290.93</v>
      </c>
      <c r="G44" s="46">
        <f>SUM(G41:G43)</f>
        <v>2605136.61</v>
      </c>
      <c r="H44" s="46">
        <f>SUM(H41:H43)</f>
        <v>2882806.5999999996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6"/>
  <sheetViews>
    <sheetView workbookViewId="0">
      <selection activeCell="C16" sqref="C16"/>
    </sheetView>
  </sheetViews>
  <sheetFormatPr defaultRowHeight="16.5" x14ac:dyDescent="0.3"/>
  <cols>
    <col min="1" max="1" width="9.140625" style="1"/>
    <col min="2" max="3" width="36.7109375" style="1" customWidth="1"/>
    <col min="4" max="4" width="5.5703125" style="1" bestFit="1" customWidth="1"/>
    <col min="5" max="16384" width="9.140625" style="1"/>
  </cols>
  <sheetData>
    <row r="2" spans="1:4" ht="20.25" x14ac:dyDescent="0.3">
      <c r="A2" s="54" t="s">
        <v>14</v>
      </c>
      <c r="D2" s="6"/>
    </row>
    <row r="3" spans="1:4" x14ac:dyDescent="0.3">
      <c r="B3" s="10" t="s">
        <v>6</v>
      </c>
      <c r="C3" s="11" t="s">
        <v>82</v>
      </c>
      <c r="D3" s="12"/>
    </row>
    <row r="4" spans="1:4" x14ac:dyDescent="0.3">
      <c r="A4" s="14">
        <v>2018</v>
      </c>
      <c r="B4" s="15">
        <v>4991841.04</v>
      </c>
      <c r="C4" s="15">
        <v>134317965.66999999</v>
      </c>
      <c r="D4" s="16">
        <v>13.564990881982588</v>
      </c>
    </row>
    <row r="5" spans="1:4" x14ac:dyDescent="0.3">
      <c r="A5" s="22">
        <v>2019</v>
      </c>
      <c r="B5" s="19">
        <v>4740937.95</v>
      </c>
      <c r="C5" s="19">
        <v>137646523.74000001</v>
      </c>
      <c r="D5" s="20">
        <v>12.571638605408051</v>
      </c>
    </row>
    <row r="6" spans="1:4" x14ac:dyDescent="0.3">
      <c r="A6" s="14">
        <v>2020</v>
      </c>
      <c r="B6" s="15">
        <v>4323129.95</v>
      </c>
      <c r="C6" s="15">
        <v>141872874.53999999</v>
      </c>
      <c r="D6" s="16">
        <v>11.12222781744731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Indicadors</vt:lpstr>
      <vt:lpstr>Arrendaments</vt:lpstr>
      <vt:lpstr>Ajuts, subvencions, beques i tr</vt:lpstr>
      <vt:lpstr>Ingressos estudis</vt:lpstr>
      <vt:lpstr>PMP</vt:lpstr>
      <vt:lpstr>'Ajuts, subvencions, beques i tr'!Àrea_d'impressió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u15934</dc:creator>
  <cp:lastModifiedBy>u15934</cp:lastModifiedBy>
  <cp:lastPrinted>2022-04-07T12:13:56Z</cp:lastPrinted>
  <dcterms:created xsi:type="dcterms:W3CDTF">2022-04-04T09:21:34Z</dcterms:created>
  <dcterms:modified xsi:type="dcterms:W3CDTF">2024-04-25T09:50:49Z</dcterms:modified>
</cp:coreProperties>
</file>